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10_上下水道部\10_上下水道経営課\11_上水道経理担当\50 水道料金改定\R8\"/>
    </mc:Choice>
  </mc:AlternateContent>
  <xr:revisionPtr revIDLastSave="0" documentId="13_ncr:1_{891FB1F9-6C64-4AB7-95ED-4F53045FFD39}" xr6:coauthVersionLast="47" xr6:coauthVersionMax="47" xr10:uidLastSave="{00000000-0000-0000-0000-000000000000}"/>
  <workbookProtection workbookAlgorithmName="SHA-512" workbookHashValue="PSiY3tdz8Xlk/nuD4evQOhkWkZVcvSmwP/dyIBWSkzKqqpNhD0pLDMjkp2eUz3mGD8as2rOAxuM1yL1CoRbvUg==" workbookSaltValue="JePt53AMy1PNNWxxhDeM0Q==" workbookSpinCount="100000" lockStructure="1"/>
  <bookViews>
    <workbookView xWindow="-120" yWindow="-120" windowWidth="20730" windowHeight="11040" xr2:uid="{7DA7D0D5-BF51-4887-BB04-F4EE989BC7C6}"/>
  </bookViews>
  <sheets>
    <sheet name="入力シート" sheetId="1" r:id="rId1"/>
    <sheet name="料金計算新旧" sheetId="2" state="hidden" r:id="rId2"/>
  </sheets>
  <definedNames>
    <definedName name="_xlnm.Print_Area" localSheetId="1">料金計算新旧!$A$1:$G$29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" i="2" l="1"/>
  <c r="C3" i="2"/>
  <c r="D25" i="2" l="1"/>
  <c r="C25" i="2"/>
  <c r="W18" i="2"/>
  <c r="U18" i="2"/>
  <c r="S18" i="2"/>
  <c r="Q18" i="2"/>
  <c r="W17" i="2"/>
  <c r="U17" i="2"/>
  <c r="S17" i="2"/>
  <c r="Q17" i="2"/>
  <c r="D17" i="2"/>
  <c r="C17" i="2"/>
  <c r="W16" i="2"/>
  <c r="U16" i="2"/>
  <c r="S16" i="2"/>
  <c r="Q16" i="2"/>
  <c r="E3" i="2"/>
  <c r="W9" i="2" s="1"/>
  <c r="D3" i="2"/>
  <c r="S13" i="2" s="1"/>
  <c r="R8" i="2" l="1"/>
  <c r="R12" i="2"/>
  <c r="R6" i="2"/>
  <c r="R7" i="2"/>
  <c r="R9" i="2"/>
  <c r="R10" i="2"/>
  <c r="R11" i="2"/>
  <c r="R13" i="2"/>
  <c r="V7" i="2"/>
  <c r="V6" i="2"/>
  <c r="V8" i="2"/>
  <c r="V9" i="2"/>
  <c r="V10" i="2"/>
  <c r="V11" i="2"/>
  <c r="V12" i="2"/>
  <c r="V13" i="2"/>
  <c r="U11" i="2"/>
  <c r="U19" i="2"/>
  <c r="W19" i="2"/>
  <c r="C9" i="2"/>
  <c r="E17" i="2"/>
  <c r="F17" i="2" s="1"/>
  <c r="Q19" i="2"/>
  <c r="S19" i="2"/>
  <c r="E25" i="2"/>
  <c r="F25" i="2" s="1"/>
  <c r="Q13" i="2"/>
  <c r="Q8" i="2"/>
  <c r="S11" i="2"/>
  <c r="U8" i="2"/>
  <c r="W8" i="2"/>
  <c r="U13" i="2"/>
  <c r="S6" i="2"/>
  <c r="S10" i="2"/>
  <c r="U6" i="2"/>
  <c r="D9" i="2"/>
  <c r="U10" i="2"/>
  <c r="W13" i="2"/>
  <c r="Q12" i="2"/>
  <c r="W6" i="2"/>
  <c r="W10" i="2"/>
  <c r="Q7" i="2"/>
  <c r="Q9" i="2"/>
  <c r="S12" i="2"/>
  <c r="U7" i="2"/>
  <c r="U9" i="2"/>
  <c r="W12" i="2"/>
  <c r="S8" i="2"/>
  <c r="W11" i="2"/>
  <c r="U12" i="2"/>
  <c r="S7" i="2"/>
  <c r="S9" i="2"/>
  <c r="Q11" i="2"/>
  <c r="W7" i="2"/>
  <c r="Q6" i="2"/>
  <c r="Q10" i="2"/>
  <c r="R14" i="2" l="1"/>
  <c r="V14" i="2"/>
  <c r="U14" i="2"/>
  <c r="S14" i="2"/>
  <c r="D18" i="2" s="1"/>
  <c r="Q14" i="2"/>
  <c r="E9" i="2"/>
  <c r="F9" i="2" s="1"/>
  <c r="W14" i="2"/>
  <c r="D26" i="2" s="1"/>
  <c r="C18" i="2" l="1"/>
  <c r="E18" i="2" s="1"/>
  <c r="F18" i="2" s="1"/>
  <c r="C26" i="2"/>
  <c r="C27" i="2" s="1"/>
  <c r="C29" i="2" s="1"/>
  <c r="C28" i="2" s="1"/>
  <c r="D27" i="2"/>
  <c r="D10" i="2"/>
  <c r="D19" i="2"/>
  <c r="E26" i="2" l="1"/>
  <c r="F26" i="2" s="1"/>
  <c r="C19" i="2"/>
  <c r="C21" i="2" s="1"/>
  <c r="C20" i="2" s="1"/>
  <c r="C12" i="2" s="1"/>
  <c r="C10" i="2"/>
  <c r="C11" i="2" s="1"/>
  <c r="D11" i="2"/>
  <c r="D21" i="2"/>
  <c r="D29" i="2"/>
  <c r="E27" i="2"/>
  <c r="F27" i="2" s="1"/>
  <c r="E10" i="2" l="1"/>
  <c r="F10" i="2" s="1"/>
  <c r="E19" i="2"/>
  <c r="F19" i="2" s="1"/>
  <c r="C13" i="2"/>
  <c r="D13" i="1" s="1"/>
  <c r="E29" i="2"/>
  <c r="F29" i="2" s="1"/>
  <c r="D28" i="2"/>
  <c r="E28" i="2" s="1"/>
  <c r="F28" i="2" s="1"/>
  <c r="D20" i="2"/>
  <c r="E20" i="2" s="1"/>
  <c r="F20" i="2" s="1"/>
  <c r="E21" i="2"/>
  <c r="F21" i="2" s="1"/>
  <c r="D13" i="2"/>
  <c r="I13" i="1" s="1"/>
  <c r="E11" i="2"/>
  <c r="F11" i="2" s="1"/>
  <c r="D12" i="2" l="1"/>
  <c r="E12" i="2" s="1"/>
  <c r="F12" i="2" s="1"/>
  <c r="E13" i="2"/>
  <c r="F13" i="2" s="1"/>
</calcChain>
</file>

<file path=xl/sharedStrings.xml><?xml version="1.0" encoding="utf-8"?>
<sst xmlns="http://schemas.openxmlformats.org/spreadsheetml/2006/main" count="79" uniqueCount="50">
  <si>
    <t>2か月分</t>
    <rPh sb="2" eb="3">
      <t>ツキ</t>
    </rPh>
    <rPh sb="3" eb="4">
      <t>ブン</t>
    </rPh>
    <phoneticPr fontId="3"/>
  </si>
  <si>
    <t>入力</t>
    <rPh sb="0" eb="2">
      <t>ニュウリョク</t>
    </rPh>
    <phoneticPr fontId="3"/>
  </si>
  <si>
    <t>１月目</t>
    <rPh sb="1" eb="3">
      <t>ツキメ</t>
    </rPh>
    <phoneticPr fontId="3"/>
  </si>
  <si>
    <t>２月目</t>
    <rPh sb="1" eb="3">
      <t>ツキメ</t>
    </rPh>
    <phoneticPr fontId="3"/>
  </si>
  <si>
    <t>水量（㎥）</t>
    <rPh sb="0" eb="2">
      <t>スイリョウ</t>
    </rPh>
    <phoneticPr fontId="3"/>
  </si>
  <si>
    <t>基本料金</t>
    <phoneticPr fontId="3"/>
  </si>
  <si>
    <t>従量料金</t>
    <rPh sb="0" eb="4">
      <t>ジュウリョウリョウキン</t>
    </rPh>
    <phoneticPr fontId="3"/>
  </si>
  <si>
    <t>口径（mm）</t>
    <rPh sb="0" eb="2">
      <t>コウケイ</t>
    </rPh>
    <phoneticPr fontId="3"/>
  </si>
  <si>
    <t>13～25</t>
    <phoneticPr fontId="3"/>
  </si>
  <si>
    <t>30～</t>
    <phoneticPr fontId="3"/>
  </si>
  <si>
    <t>1月目</t>
    <rPh sb="1" eb="3">
      <t>ツキメ</t>
    </rPh>
    <phoneticPr fontId="3"/>
  </si>
  <si>
    <t>2月目</t>
    <rPh sb="1" eb="2">
      <t>ツキ</t>
    </rPh>
    <rPh sb="2" eb="3">
      <t>メ</t>
    </rPh>
    <phoneticPr fontId="3"/>
  </si>
  <si>
    <t>旧</t>
    <rPh sb="0" eb="1">
      <t>キュウ</t>
    </rPh>
    <phoneticPr fontId="2"/>
  </si>
  <si>
    <t>新</t>
    <rPh sb="0" eb="1">
      <t>シン</t>
    </rPh>
    <phoneticPr fontId="2"/>
  </si>
  <si>
    <t>1～10</t>
  </si>
  <si>
    <t>２か月合計</t>
    <rPh sb="2" eb="3">
      <t>ガツ</t>
    </rPh>
    <rPh sb="3" eb="5">
      <t>ゴウケイ</t>
    </rPh>
    <phoneticPr fontId="3"/>
  </si>
  <si>
    <t>11～20</t>
  </si>
  <si>
    <t>旧料金（円）</t>
    <rPh sb="0" eb="1">
      <t>キュウ</t>
    </rPh>
    <rPh sb="1" eb="3">
      <t>リョウキン</t>
    </rPh>
    <rPh sb="4" eb="5">
      <t>エン</t>
    </rPh>
    <phoneticPr fontId="3"/>
  </si>
  <si>
    <t>新料金（円）</t>
    <rPh sb="0" eb="3">
      <t>シンリョウキン</t>
    </rPh>
    <rPh sb="4" eb="5">
      <t>エン</t>
    </rPh>
    <phoneticPr fontId="3"/>
  </si>
  <si>
    <t>差（円）</t>
    <rPh sb="0" eb="1">
      <t>サ</t>
    </rPh>
    <rPh sb="2" eb="3">
      <t>エン</t>
    </rPh>
    <phoneticPr fontId="3"/>
  </si>
  <si>
    <t>改定率（％）</t>
    <rPh sb="0" eb="2">
      <t>カイテイ</t>
    </rPh>
    <rPh sb="2" eb="3">
      <t>リツ</t>
    </rPh>
    <phoneticPr fontId="3"/>
  </si>
  <si>
    <t>21～30</t>
  </si>
  <si>
    <t>基本料金</t>
    <rPh sb="0" eb="4">
      <t>キホンリョウキン</t>
    </rPh>
    <phoneticPr fontId="3"/>
  </si>
  <si>
    <t>31～40</t>
    <phoneticPr fontId="3"/>
  </si>
  <si>
    <t>従量料金</t>
    <rPh sb="0" eb="2">
      <t>ジュウリョウ</t>
    </rPh>
    <rPh sb="2" eb="4">
      <t>リョウキン</t>
    </rPh>
    <phoneticPr fontId="3"/>
  </si>
  <si>
    <t>41～50</t>
  </si>
  <si>
    <t>税抜合計</t>
    <rPh sb="0" eb="2">
      <t>ゼイヌキ</t>
    </rPh>
    <rPh sb="2" eb="4">
      <t>ゴウケイ</t>
    </rPh>
    <phoneticPr fontId="3"/>
  </si>
  <si>
    <t>51～100</t>
  </si>
  <si>
    <t>消費税</t>
    <rPh sb="0" eb="3">
      <t>ショウヒゼイ</t>
    </rPh>
    <phoneticPr fontId="3"/>
  </si>
  <si>
    <t>101～200</t>
  </si>
  <si>
    <t>税込合計</t>
    <rPh sb="0" eb="2">
      <t>ゼイコ</t>
    </rPh>
    <rPh sb="2" eb="4">
      <t>ゴウケイ</t>
    </rPh>
    <phoneticPr fontId="3"/>
  </si>
  <si>
    <t>201～</t>
  </si>
  <si>
    <t>1月目(消費税は参考)</t>
    <rPh sb="1" eb="3">
      <t>ツキメ</t>
    </rPh>
    <rPh sb="4" eb="7">
      <t>ショウヒゼイ</t>
    </rPh>
    <rPh sb="8" eb="10">
      <t>サンコウ</t>
    </rPh>
    <phoneticPr fontId="3"/>
  </si>
  <si>
    <t>一時</t>
    <rPh sb="0" eb="2">
      <t>イチジ</t>
    </rPh>
    <phoneticPr fontId="3"/>
  </si>
  <si>
    <t>1～</t>
  </si>
  <si>
    <t>湯屋</t>
    <rPh sb="0" eb="2">
      <t>ユヤ</t>
    </rPh>
    <phoneticPr fontId="3"/>
  </si>
  <si>
    <t>1～200</t>
  </si>
  <si>
    <t>2月目（消費税は参考）</t>
    <rPh sb="1" eb="3">
      <t>ツキメ</t>
    </rPh>
    <rPh sb="4" eb="7">
      <t>ショウヒゼイ</t>
    </rPh>
    <rPh sb="8" eb="10">
      <t>サンコウ</t>
    </rPh>
    <phoneticPr fontId="3"/>
  </si>
  <si>
    <t>水道料金シミュレーション</t>
    <rPh sb="0" eb="2">
      <t>スイドウ</t>
    </rPh>
    <rPh sb="2" eb="4">
      <t>リョウキン</t>
    </rPh>
    <phoneticPr fontId="3"/>
  </si>
  <si>
    <t>２か月分水道料金（税込み）</t>
  </si>
  <si>
    <t>口径</t>
    <rPh sb="0" eb="2">
      <t>コウケイ</t>
    </rPh>
    <phoneticPr fontId="3"/>
  </si>
  <si>
    <t>水量</t>
    <rPh sb="0" eb="2">
      <t>スイリョウ</t>
    </rPh>
    <phoneticPr fontId="3"/>
  </si>
  <si>
    <t>mm</t>
    <phoneticPr fontId="3"/>
  </si>
  <si>
    <t>㎥</t>
    <phoneticPr fontId="3"/>
  </si>
  <si>
    <t>円</t>
    <rPh sb="0" eb="1">
      <t>エン</t>
    </rPh>
    <phoneticPr fontId="3"/>
  </si>
  <si>
    <t>〇令和９年５月請求分（４月検針）から</t>
    <rPh sb="1" eb="3">
      <t>レイワ</t>
    </rPh>
    <rPh sb="4" eb="5">
      <t>ネン</t>
    </rPh>
    <rPh sb="6" eb="7">
      <t>ガツ</t>
    </rPh>
    <rPh sb="7" eb="9">
      <t>セイキュウ</t>
    </rPh>
    <rPh sb="9" eb="10">
      <t>ブン</t>
    </rPh>
    <rPh sb="12" eb="13">
      <t>ガツ</t>
    </rPh>
    <rPh sb="13" eb="15">
      <t>ケンシン</t>
    </rPh>
    <phoneticPr fontId="3"/>
  </si>
  <si>
    <t>〇令和９年４月請求分（３月検針）まで</t>
    <rPh sb="1" eb="3">
      <t>レイワ</t>
    </rPh>
    <rPh sb="4" eb="5">
      <t>ネン</t>
    </rPh>
    <rPh sb="6" eb="7">
      <t>ガツ</t>
    </rPh>
    <rPh sb="7" eb="10">
      <t>セイキュウブン</t>
    </rPh>
    <rPh sb="12" eb="13">
      <t>ガツ</t>
    </rPh>
    <rPh sb="13" eb="15">
      <t>ケンシン</t>
    </rPh>
    <phoneticPr fontId="3"/>
  </si>
  <si>
    <t>改定前</t>
    <rPh sb="0" eb="2">
      <t>カイテイ</t>
    </rPh>
    <rPh sb="2" eb="3">
      <t>マエ</t>
    </rPh>
    <phoneticPr fontId="3"/>
  </si>
  <si>
    <t>改定後</t>
    <rPh sb="0" eb="3">
      <t>カイテイゴ</t>
    </rPh>
    <phoneticPr fontId="3"/>
  </si>
  <si>
    <t>ご契約の口径を選択し、２か月分の水量を入力してください。</t>
    <rPh sb="1" eb="3">
      <t>ケイヤク</t>
    </rPh>
    <rPh sb="4" eb="6">
      <t>コウケイ</t>
    </rPh>
    <rPh sb="7" eb="9">
      <t>センタク</t>
    </rPh>
    <rPh sb="13" eb="15">
      <t>ガツブン</t>
    </rPh>
    <rPh sb="16" eb="18">
      <t>スイリョウ</t>
    </rPh>
    <rPh sb="19" eb="21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</si>
</sst>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0" xfId="1" applyFont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 shrinkToFit="1"/>
    </xf>
    <xf numFmtId="38" fontId="0" fillId="0" borderId="3" xfId="1" applyFont="1" applyBorder="1">
      <alignment vertical="center"/>
    </xf>
    <xf numFmtId="176" fontId="0" fillId="0" borderId="3" xfId="1" applyNumberFormat="1" applyFont="1" applyBorder="1">
      <alignment vertical="center"/>
    </xf>
    <xf numFmtId="0" fontId="0" fillId="0" borderId="3" xfId="0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3" xfId="0" applyBorder="1" applyProtection="1">
      <alignment vertical="center"/>
      <protection locked="0"/>
    </xf>
    <xf numFmtId="38" fontId="0" fillId="0" borderId="3" xfId="1" applyFont="1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8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4" fillId="0" borderId="8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38" fontId="0" fillId="0" borderId="19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55FA-041B-4182-8D2E-F79E09BB1BC4}">
  <dimension ref="A1:K16"/>
  <sheetViews>
    <sheetView tabSelected="1" zoomScaleNormal="100" workbookViewId="0">
      <selection activeCell="C7" sqref="C7"/>
    </sheetView>
  </sheetViews>
  <sheetFormatPr defaultRowHeight="18.75" x14ac:dyDescent="0.4"/>
  <cols>
    <col min="1" max="1" width="1.5" customWidth="1"/>
    <col min="2" max="2" width="9.75" customWidth="1"/>
    <col min="3" max="3" width="10.625" customWidth="1"/>
    <col min="5" max="5" width="8.875" customWidth="1"/>
    <col min="6" max="6" width="1.375" customWidth="1"/>
    <col min="8" max="8" width="10.625" customWidth="1"/>
    <col min="10" max="10" width="8.875" customWidth="1"/>
    <col min="11" max="11" width="1.5" customWidth="1"/>
  </cols>
  <sheetData>
    <row r="1" spans="1:11" ht="19.5" thickBot="1" x14ac:dyDescent="0.45"/>
    <row r="2" spans="1:11" ht="36.75" customHeight="1" thickTop="1" x14ac:dyDescent="0.4">
      <c r="A2" s="21"/>
      <c r="B2" s="22" t="s">
        <v>38</v>
      </c>
      <c r="C2" s="13"/>
      <c r="D2" s="13"/>
      <c r="E2" s="13"/>
      <c r="F2" s="13"/>
      <c r="G2" s="13"/>
      <c r="H2" s="13"/>
      <c r="I2" s="13"/>
      <c r="J2" s="13"/>
      <c r="K2" s="14"/>
    </row>
    <row r="3" spans="1:11" x14ac:dyDescent="0.4">
      <c r="A3" s="15"/>
      <c r="K3" s="16"/>
    </row>
    <row r="4" spans="1:11" x14ac:dyDescent="0.4">
      <c r="A4" s="15"/>
      <c r="B4" t="s">
        <v>49</v>
      </c>
      <c r="K4" s="16"/>
    </row>
    <row r="5" spans="1:11" x14ac:dyDescent="0.4">
      <c r="A5" s="15"/>
      <c r="K5" s="16"/>
    </row>
    <row r="6" spans="1:11" x14ac:dyDescent="0.4">
      <c r="A6" s="15"/>
      <c r="B6" s="1" t="s">
        <v>40</v>
      </c>
      <c r="C6" s="11"/>
      <c r="D6" t="s">
        <v>42</v>
      </c>
      <c r="K6" s="16"/>
    </row>
    <row r="7" spans="1:11" x14ac:dyDescent="0.4">
      <c r="A7" s="15"/>
      <c r="B7" s="1" t="s">
        <v>41</v>
      </c>
      <c r="C7" s="12"/>
      <c r="D7" t="s">
        <v>43</v>
      </c>
      <c r="K7" s="16"/>
    </row>
    <row r="8" spans="1:11" x14ac:dyDescent="0.4">
      <c r="A8" s="15"/>
      <c r="K8" s="16"/>
    </row>
    <row r="9" spans="1:11" x14ac:dyDescent="0.4">
      <c r="A9" s="15"/>
      <c r="B9" t="s">
        <v>39</v>
      </c>
      <c r="K9" s="16"/>
    </row>
    <row r="10" spans="1:11" x14ac:dyDescent="0.4">
      <c r="A10" s="15"/>
      <c r="B10" s="30" t="s">
        <v>47</v>
      </c>
      <c r="C10" s="31"/>
      <c r="D10" s="31"/>
      <c r="E10" s="32"/>
      <c r="G10" s="30" t="s">
        <v>48</v>
      </c>
      <c r="H10" s="31"/>
      <c r="I10" s="31"/>
      <c r="J10" s="32"/>
      <c r="K10" s="16"/>
    </row>
    <row r="11" spans="1:11" x14ac:dyDescent="0.4">
      <c r="A11" s="15"/>
      <c r="B11" s="33" t="s">
        <v>46</v>
      </c>
      <c r="C11" s="34"/>
      <c r="D11" s="34"/>
      <c r="E11" s="35"/>
      <c r="G11" s="33" t="s">
        <v>45</v>
      </c>
      <c r="H11" s="34"/>
      <c r="I11" s="34"/>
      <c r="J11" s="35"/>
      <c r="K11" s="16"/>
    </row>
    <row r="12" spans="1:11" ht="8.25" customHeight="1" thickBot="1" x14ac:dyDescent="0.45">
      <c r="A12" s="15"/>
      <c r="B12" s="23"/>
      <c r="E12" s="24"/>
      <c r="G12" s="23"/>
      <c r="J12" s="24"/>
      <c r="K12" s="16"/>
    </row>
    <row r="13" spans="1:11" ht="20.25" thickTop="1" thickBot="1" x14ac:dyDescent="0.45">
      <c r="A13" s="15"/>
      <c r="B13" s="23"/>
      <c r="D13" s="20" t="str">
        <f>IF(C6="","",IF(C7="","",料金計算新旧!C13))</f>
        <v/>
      </c>
      <c r="E13" s="28" t="s">
        <v>44</v>
      </c>
      <c r="G13" s="23"/>
      <c r="I13" s="20" t="str">
        <f>IF(C6="","",IF(C7="","",料金計算新旧!D13))</f>
        <v/>
      </c>
      <c r="J13" s="29" t="s">
        <v>44</v>
      </c>
      <c r="K13" s="16"/>
    </row>
    <row r="14" spans="1:11" ht="8.25" customHeight="1" thickTop="1" x14ac:dyDescent="0.4">
      <c r="A14" s="15"/>
      <c r="B14" s="25"/>
      <c r="C14" s="26"/>
      <c r="D14" s="26"/>
      <c r="E14" s="27"/>
      <c r="G14" s="25"/>
      <c r="H14" s="26"/>
      <c r="I14" s="26"/>
      <c r="J14" s="27"/>
      <c r="K14" s="16"/>
    </row>
    <row r="15" spans="1:11" ht="19.5" thickBot="1" x14ac:dyDescent="0.4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9"/>
    </row>
    <row r="16" spans="1:11" ht="19.5" thickTop="1" x14ac:dyDescent="0.4"/>
  </sheetData>
  <sheetProtection algorithmName="SHA-512" hashValue="vDqgSoEbu1/aHLlmCzHEDEZNowD2eSz0o3+tO9PnKjvpFZfNv/D0r1YSV4vRC7h1ipJNTLbrWAh3qgXboD/PcQ==" saltValue="BcxqSDmtHpgVGn8fhU6mCg==" spinCount="100000" sheet="1" objects="1" scenarios="1" selectLockedCells="1"/>
  <mergeCells count="4">
    <mergeCell ref="B10:E10"/>
    <mergeCell ref="G10:J10"/>
    <mergeCell ref="B11:E11"/>
    <mergeCell ref="G11:J11"/>
  </mergeCells>
  <phoneticPr fontId="3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3A1EFA-BA8C-460F-9991-4442512E4D93}">
          <x14:formula1>
            <xm:f>料金計算新旧!$H$6:$H$17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D88B7-7899-4771-8FD3-1E6939706FC5}">
  <dimension ref="B1:W29"/>
  <sheetViews>
    <sheetView zoomScaleNormal="100" workbookViewId="0">
      <selection activeCell="G9" sqref="G9"/>
    </sheetView>
  </sheetViews>
  <sheetFormatPr defaultRowHeight="18.75" x14ac:dyDescent="0.4"/>
  <cols>
    <col min="1" max="1" width="1.875" customWidth="1"/>
    <col min="2" max="6" width="10.625" customWidth="1"/>
    <col min="11" max="11" width="2.125" customWidth="1"/>
    <col min="17" max="17" width="9.375" bestFit="1" customWidth="1"/>
  </cols>
  <sheetData>
    <row r="1" spans="2:23" x14ac:dyDescent="0.4">
      <c r="I1" s="36"/>
      <c r="J1" s="36"/>
      <c r="M1" s="36"/>
      <c r="N1" s="36"/>
      <c r="O1" s="36"/>
    </row>
    <row r="2" spans="2:23" ht="19.5" thickBot="1" x14ac:dyDescent="0.45">
      <c r="B2" t="s">
        <v>0</v>
      </c>
      <c r="C2" s="1" t="s">
        <v>1</v>
      </c>
      <c r="D2" t="s">
        <v>2</v>
      </c>
      <c r="E2" t="s">
        <v>3</v>
      </c>
      <c r="M2" s="1"/>
      <c r="N2" s="1"/>
      <c r="Q2" s="36"/>
      <c r="R2" s="36"/>
      <c r="S2" s="36"/>
      <c r="U2" s="36"/>
      <c r="V2" s="36"/>
      <c r="W2" s="36"/>
    </row>
    <row r="3" spans="2:23" x14ac:dyDescent="0.4">
      <c r="B3" t="s">
        <v>4</v>
      </c>
      <c r="C3" s="2">
        <f>入力シート!C7</f>
        <v>0</v>
      </c>
      <c r="D3">
        <f>ROUNDUP(C3/2,0)</f>
        <v>0</v>
      </c>
      <c r="E3">
        <f>ROUNDDOWN(C3/2,0)</f>
        <v>0</v>
      </c>
      <c r="I3" s="36" t="s">
        <v>5</v>
      </c>
      <c r="J3" s="36"/>
      <c r="M3" s="36" t="s">
        <v>6</v>
      </c>
      <c r="N3" s="36"/>
      <c r="O3" s="36"/>
    </row>
    <row r="4" spans="2:23" ht="19.5" thickBot="1" x14ac:dyDescent="0.45">
      <c r="B4" t="s">
        <v>7</v>
      </c>
      <c r="C4" s="3">
        <f>入力シート!C6</f>
        <v>0</v>
      </c>
      <c r="M4" s="1" t="s">
        <v>8</v>
      </c>
      <c r="N4" s="1" t="s">
        <v>9</v>
      </c>
      <c r="Q4" s="36" t="s">
        <v>10</v>
      </c>
      <c r="R4" s="36"/>
      <c r="S4" s="36"/>
      <c r="U4" s="36" t="s">
        <v>11</v>
      </c>
      <c r="V4" s="36"/>
      <c r="W4" s="36"/>
    </row>
    <row r="5" spans="2:23" x14ac:dyDescent="0.4">
      <c r="I5" t="s">
        <v>12</v>
      </c>
      <c r="J5" t="s">
        <v>13</v>
      </c>
      <c r="M5" t="s">
        <v>12</v>
      </c>
      <c r="N5" t="s">
        <v>12</v>
      </c>
      <c r="O5" t="s">
        <v>13</v>
      </c>
      <c r="Q5" t="s">
        <v>12</v>
      </c>
      <c r="R5" t="s">
        <v>12</v>
      </c>
      <c r="S5" t="s">
        <v>13</v>
      </c>
      <c r="U5" t="s">
        <v>12</v>
      </c>
      <c r="V5" t="s">
        <v>12</v>
      </c>
      <c r="W5" t="s">
        <v>13</v>
      </c>
    </row>
    <row r="6" spans="2:23" x14ac:dyDescent="0.4">
      <c r="H6">
        <v>13</v>
      </c>
      <c r="I6" s="4">
        <v>750</v>
      </c>
      <c r="J6" s="4">
        <v>1020</v>
      </c>
      <c r="L6" t="s">
        <v>14</v>
      </c>
      <c r="M6">
        <v>19</v>
      </c>
      <c r="N6">
        <v>210</v>
      </c>
      <c r="O6">
        <v>42</v>
      </c>
      <c r="Q6" s="4">
        <f>IF($C$4&lt;=25,IF($D$3&lt;=10,$M6*$D$3,$M6*10),"")</f>
        <v>0</v>
      </c>
      <c r="R6" s="4" t="str">
        <f>IF($C$4&gt;=30,IF($D$3&lt;=10,$N6*$D$3,$N6*10),"")</f>
        <v/>
      </c>
      <c r="S6" s="4">
        <f>IF($D$3&lt;=10,D3*$O6,$O6*10)</f>
        <v>0</v>
      </c>
      <c r="U6" s="4">
        <f>IF($C$4&lt;=25,IF($E$3&lt;=10,$M6*$E$3,$M6*10),"")</f>
        <v>0</v>
      </c>
      <c r="V6" s="4" t="str">
        <f>IF($C$4&gt;=30,IF($E$3&lt;=10,$N6*$E$3,$N6*10),"")</f>
        <v/>
      </c>
      <c r="W6" s="4">
        <f>IF($E$3&lt;=10,E3*$O6,$O6*10)</f>
        <v>0</v>
      </c>
    </row>
    <row r="7" spans="2:23" x14ac:dyDescent="0.4">
      <c r="B7" t="s">
        <v>15</v>
      </c>
      <c r="H7">
        <v>20</v>
      </c>
      <c r="I7" s="4">
        <v>1070</v>
      </c>
      <c r="J7" s="4">
        <v>1600</v>
      </c>
      <c r="L7" t="s">
        <v>16</v>
      </c>
      <c r="M7">
        <v>103</v>
      </c>
      <c r="N7">
        <v>210</v>
      </c>
      <c r="O7">
        <v>126</v>
      </c>
      <c r="Q7" s="4" t="str">
        <f>IF($C$4&lt;=25,IF($D$3&lt;=20,IF($D$3&gt;=11,$M7*($D$3-10),""),$M7*10),"")</f>
        <v/>
      </c>
      <c r="R7" s="4" t="str">
        <f>IF($C$4&gt;=30,IF($D$3&lt;=20,IF($D$3&gt;=11,$N7*($D$3-10),""),$N7*10),"")</f>
        <v/>
      </c>
      <c r="S7" s="4" t="str">
        <f>IF($D$3&lt;=10,"",IF($D$3&gt;=21,$O7*10,($D$3-10)*$O7))</f>
        <v/>
      </c>
      <c r="U7" s="4" t="str">
        <f>IF($C$4&lt;=25,IF($E$3&lt;=20,IF($E$3&gt;=11,$M7*($E$3-10),""),$M7*10),"")</f>
        <v/>
      </c>
      <c r="V7" s="4" t="str">
        <f>IF($C$4&gt;=30,IF($E$3&lt;=20,IF($E$3&gt;=11,$N7*($E$3-10),""),$N7*10),"")</f>
        <v/>
      </c>
      <c r="W7" s="4" t="str">
        <f>IF($E$3&lt;=10,"",IF($E$3&gt;=21,$O7*10,($E$3-10)*$O7))</f>
        <v/>
      </c>
    </row>
    <row r="8" spans="2:23" x14ac:dyDescent="0.4">
      <c r="B8" s="5"/>
      <c r="C8" s="6" t="s">
        <v>17</v>
      </c>
      <c r="D8" s="6" t="s">
        <v>18</v>
      </c>
      <c r="E8" s="6" t="s">
        <v>19</v>
      </c>
      <c r="F8" s="6" t="s">
        <v>20</v>
      </c>
      <c r="H8">
        <v>25</v>
      </c>
      <c r="I8" s="4">
        <v>1970</v>
      </c>
      <c r="J8" s="4">
        <v>2710</v>
      </c>
      <c r="L8" t="s">
        <v>21</v>
      </c>
      <c r="M8">
        <v>138</v>
      </c>
      <c r="N8">
        <v>210</v>
      </c>
      <c r="O8">
        <v>161</v>
      </c>
      <c r="Q8" s="4" t="str">
        <f>IF($C$4&lt;=25,IF($D$3&lt;=30,IF($D$3&gt;=21,$M8*($D$3-20),""),$M8*10),"")</f>
        <v/>
      </c>
      <c r="R8" s="4" t="str">
        <f>IF($C$4&gt;=30,IF($D$3&lt;=30,IF($D$3&gt;=21,$N8*($D$3-20),""),$N8*10),"")</f>
        <v/>
      </c>
      <c r="S8" s="4" t="str">
        <f>IF($D$3&lt;=20,"",IF($D$3&gt;=31,$O8*10,($D$3-20)*$O8))</f>
        <v/>
      </c>
      <c r="U8" s="4" t="str">
        <f>IF($C$4&lt;=25,IF($E$3&lt;=30,IF($E$3&gt;=21,$M8*($E$3-20),""),$M8*10),"")</f>
        <v/>
      </c>
      <c r="V8" s="4" t="str">
        <f>IF($C$4&gt;=30,IF($E$3&lt;=30,IF($E$3&gt;=21,$N8*($E$3-20),""),$N8*10),"")</f>
        <v/>
      </c>
      <c r="W8" s="4" t="str">
        <f>IF($E$3&lt;=20,"",IF($E$3&gt;=31,$O8*10,($E$3-20)*$O8))</f>
        <v/>
      </c>
    </row>
    <row r="9" spans="2:23" x14ac:dyDescent="0.4">
      <c r="B9" s="6" t="s">
        <v>22</v>
      </c>
      <c r="C9" s="7" t="e">
        <f>C17+C25</f>
        <v>#N/A</v>
      </c>
      <c r="D9" s="7" t="e">
        <f>D17+D25</f>
        <v>#N/A</v>
      </c>
      <c r="E9" s="7" t="e">
        <f>IF($C$4="","",D9-C9)</f>
        <v>#N/A</v>
      </c>
      <c r="F9" s="8" t="e">
        <f>E9/C9*100</f>
        <v>#N/A</v>
      </c>
      <c r="H9">
        <v>30</v>
      </c>
      <c r="I9" s="4">
        <v>3460</v>
      </c>
      <c r="J9" s="4">
        <v>4720</v>
      </c>
      <c r="L9" t="s">
        <v>23</v>
      </c>
      <c r="M9">
        <v>176</v>
      </c>
      <c r="N9">
        <v>210</v>
      </c>
      <c r="O9">
        <v>199</v>
      </c>
      <c r="Q9" s="4" t="str">
        <f>IF($C$4&lt;=25,IF($D$3&lt;=40,IF($D$3&gt;=31,$M9*($D$3-30),""),$M9*10),"")</f>
        <v/>
      </c>
      <c r="R9" s="4" t="str">
        <f>IF($C$4&gt;=30,IF($D$3&lt;=40,IF($D$3&gt;=31,$N9*($D$3-30),""),$N9*10),"")</f>
        <v/>
      </c>
      <c r="S9" s="4" t="str">
        <f>IF($D$3&lt;=30,"",IF($D$3&gt;=41,$O9*10,($D$3-30)*$O9))</f>
        <v/>
      </c>
      <c r="U9" s="4" t="str">
        <f>IF($C$4&lt;=25,IF($E$3&lt;=40,IF($E$3&gt;=31,$M9*($E$3-30),""),$M9*10),"")</f>
        <v/>
      </c>
      <c r="V9" s="4" t="str">
        <f>IF($C$4&gt;=30,IF($E$3&lt;=40,IF($E$3&gt;=31,$N9*($E$3-30),""),$N9*10),"")</f>
        <v/>
      </c>
      <c r="W9" s="4" t="str">
        <f>IF($E$3&lt;=30,"",IF($E$3&gt;=41,$O9*10,($E$3-30)*$O9))</f>
        <v/>
      </c>
    </row>
    <row r="10" spans="2:23" x14ac:dyDescent="0.4">
      <c r="B10" s="6" t="s">
        <v>24</v>
      </c>
      <c r="C10" s="7">
        <f>C18+C26</f>
        <v>0</v>
      </c>
      <c r="D10" s="7">
        <f>D18+D26</f>
        <v>0</v>
      </c>
      <c r="E10" s="7">
        <f t="shared" ref="E10:E13" si="0">IF($C$4="","",D10-C10)</f>
        <v>0</v>
      </c>
      <c r="F10" s="8" t="e">
        <f t="shared" ref="F10:F13" si="1">E10/C10*100</f>
        <v>#DIV/0!</v>
      </c>
      <c r="H10">
        <v>40</v>
      </c>
      <c r="I10" s="4">
        <v>6440</v>
      </c>
      <c r="J10" s="4">
        <v>9180</v>
      </c>
      <c r="L10" t="s">
        <v>25</v>
      </c>
      <c r="M10">
        <v>210</v>
      </c>
      <c r="N10">
        <v>210</v>
      </c>
      <c r="O10">
        <v>233</v>
      </c>
      <c r="Q10" s="4" t="str">
        <f>IF($C$4&lt;=25,IF($D$3&lt;=50,IF($D$3&gt;=41,$M10*($D$3-40),""),$M10*10),"")</f>
        <v/>
      </c>
      <c r="R10" s="4" t="str">
        <f>IF($C$4&gt;=30,IF($D$3&lt;=50,IF($D$3&gt;=41,$N10*($D$3-40),""),$N10*10),"")</f>
        <v/>
      </c>
      <c r="S10" s="4" t="str">
        <f>IF($D$3&lt;=40,"",IF($D$3&gt;=51,$O10*10,($D$3-40)*$O10))</f>
        <v/>
      </c>
      <c r="U10" s="4" t="str">
        <f>IF($C$4&lt;=25,IF($E$3&lt;=50,IF($E$3&gt;=41,$M10*($E$3-40),""),$M10*10),"")</f>
        <v/>
      </c>
      <c r="V10" s="4" t="str">
        <f>IF($C$4&gt;=30,IF($E$3&lt;=50,IF($E$3&gt;=41,$N10*($E$3-40),""),$N10*10),"")</f>
        <v/>
      </c>
      <c r="W10" s="4" t="str">
        <f>IF($E$3&lt;=40,"",IF($E$3&gt;=51,$O10*10,($E$3-40)*$O10))</f>
        <v/>
      </c>
    </row>
    <row r="11" spans="2:23" x14ac:dyDescent="0.4">
      <c r="B11" s="6" t="s">
        <v>26</v>
      </c>
      <c r="C11" s="7" t="e">
        <f>SUM(C9:C10)</f>
        <v>#N/A</v>
      </c>
      <c r="D11" s="7" t="e">
        <f>SUM(D9:D10)</f>
        <v>#N/A</v>
      </c>
      <c r="E11" s="7" t="e">
        <f t="shared" si="0"/>
        <v>#N/A</v>
      </c>
      <c r="F11" s="8" t="e">
        <f t="shared" si="1"/>
        <v>#N/A</v>
      </c>
      <c r="H11">
        <v>50</v>
      </c>
      <c r="I11" s="4">
        <v>9700</v>
      </c>
      <c r="J11" s="4">
        <v>14370</v>
      </c>
      <c r="L11" t="s">
        <v>27</v>
      </c>
      <c r="M11">
        <v>237</v>
      </c>
      <c r="N11">
        <v>237</v>
      </c>
      <c r="O11">
        <v>260</v>
      </c>
      <c r="Q11" s="4" t="str">
        <f>IF($C$4&lt;=25,IF($D$3&lt;=100,IF($D$3&gt;=51,$M11*($D$3-50),""),$M11*50),"")</f>
        <v/>
      </c>
      <c r="R11" s="4" t="str">
        <f>IF($C$4&gt;=30,IF($D$3&lt;=100,IF($D$3&gt;=51,N$11*($D$3-50),""),$N11*50),"")</f>
        <v/>
      </c>
      <c r="S11" s="4" t="str">
        <f>IF($D$3&lt;=50,"",IF($D$3&gt;=101,$O11*50,($D$3-50)*$O11))</f>
        <v/>
      </c>
      <c r="U11" s="4" t="str">
        <f>IF($C$4&lt;=25,IF($E$3&lt;=100,IF($E$3&gt;=51,$M11*($E$3-50),""),$M11*50),"")</f>
        <v/>
      </c>
      <c r="V11" s="4" t="str">
        <f>IF($C$4&gt;=30,IF($E$3&lt;=100,IF($E$3&gt;=51,R$11*($E$3-50),""),$N11*50),"")</f>
        <v/>
      </c>
      <c r="W11" s="4" t="str">
        <f>IF($E$3&lt;=50,"",IF($E$3&gt;=101,$O11*50,($E$3-50)*$O11))</f>
        <v/>
      </c>
    </row>
    <row r="12" spans="2:23" x14ac:dyDescent="0.4">
      <c r="B12" s="6" t="s">
        <v>28</v>
      </c>
      <c r="C12" s="7" t="e">
        <f>C20+C28</f>
        <v>#N/A</v>
      </c>
      <c r="D12" s="7" t="e">
        <f>D13-D11</f>
        <v>#N/A</v>
      </c>
      <c r="E12" s="7" t="e">
        <f t="shared" si="0"/>
        <v>#N/A</v>
      </c>
      <c r="F12" s="8" t="e">
        <f t="shared" si="1"/>
        <v>#N/A</v>
      </c>
      <c r="H12">
        <v>75</v>
      </c>
      <c r="I12" s="4">
        <v>24390</v>
      </c>
      <c r="J12" s="4">
        <v>32440</v>
      </c>
      <c r="L12" t="s">
        <v>29</v>
      </c>
      <c r="M12">
        <v>237</v>
      </c>
      <c r="N12">
        <v>242</v>
      </c>
      <c r="O12">
        <v>265</v>
      </c>
      <c r="Q12" s="4" t="str">
        <f>IF($C$4&lt;=25,IF($D$3&lt;=200,IF($D$3&gt;=101,$M12*($D$3-100),""),$M12*100),"")</f>
        <v/>
      </c>
      <c r="R12" s="4" t="str">
        <f>IF($C$4&gt;=30,IF($D$3&lt;=200,IF($D$3&gt;=101,$N12*($D$3-100),""),$N12*100),"")</f>
        <v/>
      </c>
      <c r="S12" s="4" t="str">
        <f>IF($D$3&lt;=100,"",IF($D$3&gt;=201,$O12*100,($D$3-100)*$O12))</f>
        <v/>
      </c>
      <c r="U12" s="4" t="str">
        <f>IF($C$4&lt;=25,IF($E$3&lt;=200,IF($E$3&gt;=101,$M12*($E$3-100),""),$M12*100),"")</f>
        <v/>
      </c>
      <c r="V12" s="4" t="str">
        <f>IF($C$4&gt;=30,IF($E$3&lt;=200,IF($E$3&gt;=101,$N12*($E$3-100),""),$N12*100),"")</f>
        <v/>
      </c>
      <c r="W12" s="4" t="str">
        <f>IF($E$3&lt;=100,"",IF($E$3&gt;=201,$O12*100,($E$3-100)*$O12))</f>
        <v/>
      </c>
    </row>
    <row r="13" spans="2:23" x14ac:dyDescent="0.4">
      <c r="B13" s="6" t="s">
        <v>30</v>
      </c>
      <c r="C13" s="7" t="e">
        <f>C11+C12</f>
        <v>#N/A</v>
      </c>
      <c r="D13" s="7" t="e">
        <f>ROUNDDOWN(D11*1.1,0)</f>
        <v>#N/A</v>
      </c>
      <c r="E13" s="7" t="e">
        <f t="shared" si="0"/>
        <v>#N/A</v>
      </c>
      <c r="F13" s="8" t="e">
        <f t="shared" si="1"/>
        <v>#N/A</v>
      </c>
      <c r="H13">
        <v>100</v>
      </c>
      <c r="I13" s="4">
        <v>41760</v>
      </c>
      <c r="J13" s="4">
        <v>57690</v>
      </c>
      <c r="L13" t="s">
        <v>31</v>
      </c>
      <c r="M13">
        <v>237</v>
      </c>
      <c r="N13">
        <v>254</v>
      </c>
      <c r="O13">
        <v>277</v>
      </c>
      <c r="Q13" s="4" t="str">
        <f>IF($C$4&lt;=25,IF($D$3&gt;=200,$M13*($D$3-200),""),"")</f>
        <v/>
      </c>
      <c r="R13" s="4" t="str">
        <f>IF($C$4&gt;=30,IF($D$3&gt;=200,$N13*($D$3-200),""),"")</f>
        <v/>
      </c>
      <c r="S13" s="4" t="str">
        <f>IF($D$3&lt;=200,"",IF($D$3&gt;=201,($D$3-200)*$O13,""))</f>
        <v/>
      </c>
      <c r="T13" s="4"/>
      <c r="U13" s="4" t="str">
        <f>IF($C$4&lt;=25,IF($E$3&gt;=200,$M13*($E$3-200),""),"")</f>
        <v/>
      </c>
      <c r="V13" s="4" t="str">
        <f>IF($C$4&gt;=30,IF($E$3&gt;=200,$N13*($E$3-200),""),"")</f>
        <v/>
      </c>
      <c r="W13" s="4" t="str">
        <f>IF($E$3&lt;=200,"",IF($E$3&gt;=201,($E$3-200)*$O13,""))</f>
        <v/>
      </c>
    </row>
    <row r="14" spans="2:23" x14ac:dyDescent="0.4">
      <c r="C14" s="4"/>
      <c r="D14" s="4"/>
      <c r="E14" s="4"/>
      <c r="F14" s="4"/>
      <c r="H14">
        <v>150</v>
      </c>
      <c r="I14" s="4">
        <v>95040</v>
      </c>
      <c r="J14" s="4">
        <v>133050</v>
      </c>
      <c r="Q14" s="4">
        <f>SUM(Q6:Q13)</f>
        <v>0</v>
      </c>
      <c r="R14" s="4">
        <f t="shared" ref="R14:S14" si="2">SUM(R6:R13)</f>
        <v>0</v>
      </c>
      <c r="S14" s="4">
        <f t="shared" si="2"/>
        <v>0</v>
      </c>
      <c r="T14" s="4"/>
      <c r="U14" s="4">
        <f>SUM(U6:U13)</f>
        <v>0</v>
      </c>
      <c r="V14" s="4">
        <f t="shared" ref="V14:W14" si="3">SUM(V6:V13)</f>
        <v>0</v>
      </c>
      <c r="W14" s="4">
        <f t="shared" si="3"/>
        <v>0</v>
      </c>
    </row>
    <row r="15" spans="2:23" x14ac:dyDescent="0.4">
      <c r="B15" t="s">
        <v>32</v>
      </c>
      <c r="H15">
        <v>200</v>
      </c>
      <c r="I15" s="4">
        <v>153600</v>
      </c>
      <c r="J15" s="4">
        <v>222540</v>
      </c>
      <c r="Q15" s="4"/>
      <c r="R15" s="4"/>
      <c r="S15" s="4"/>
      <c r="T15" s="4"/>
    </row>
    <row r="16" spans="2:23" x14ac:dyDescent="0.4">
      <c r="B16" s="5"/>
      <c r="C16" s="6" t="s">
        <v>17</v>
      </c>
      <c r="D16" s="6" t="s">
        <v>18</v>
      </c>
      <c r="E16" s="6" t="s">
        <v>19</v>
      </c>
      <c r="F16" s="6" t="s">
        <v>20</v>
      </c>
      <c r="H16" t="s">
        <v>33</v>
      </c>
      <c r="I16" s="4">
        <v>3360</v>
      </c>
      <c r="J16" s="4">
        <v>4720</v>
      </c>
      <c r="L16" t="s">
        <v>34</v>
      </c>
      <c r="M16">
        <v>254</v>
      </c>
      <c r="N16">
        <v>254</v>
      </c>
      <c r="O16">
        <v>277</v>
      </c>
      <c r="Q16" s="4" t="str">
        <f>IF($C$4="一時",M16*$D$3,"")</f>
        <v/>
      </c>
      <c r="R16" s="4"/>
      <c r="S16" s="4" t="str">
        <f t="shared" ref="S16" si="4">IF($C$4="一時",O16*$D$3,"")</f>
        <v/>
      </c>
      <c r="T16" s="4"/>
      <c r="U16" s="4" t="str">
        <f>IF($C$4="一時",M16*$E$3,"")</f>
        <v/>
      </c>
      <c r="V16" s="4"/>
      <c r="W16" s="4" t="str">
        <f>IF($C$4="一時",O16*$E$3,"")</f>
        <v/>
      </c>
    </row>
    <row r="17" spans="2:23" x14ac:dyDescent="0.4">
      <c r="B17" s="9" t="s">
        <v>22</v>
      </c>
      <c r="C17" s="7" t="e">
        <f>IF($C$4="","",VLOOKUP($C$4,$H$6:$J$17,2))</f>
        <v>#N/A</v>
      </c>
      <c r="D17" s="7" t="e">
        <f>IF($C$4="","",VLOOKUP($C$4,$H$6:$J$17,3))</f>
        <v>#N/A</v>
      </c>
      <c r="E17" s="7" t="e">
        <f>IF($C$4="","",D17-C17)</f>
        <v>#N/A</v>
      </c>
      <c r="F17" s="8" t="e">
        <f t="shared" ref="F17:F21" si="5">E17/C17*100</f>
        <v>#N/A</v>
      </c>
      <c r="H17" t="s">
        <v>35</v>
      </c>
      <c r="I17" s="4">
        <v>4800</v>
      </c>
      <c r="J17" s="4">
        <v>6740</v>
      </c>
      <c r="L17" t="s">
        <v>36</v>
      </c>
      <c r="M17">
        <v>7</v>
      </c>
      <c r="N17">
        <v>7</v>
      </c>
      <c r="O17">
        <v>42</v>
      </c>
      <c r="Q17" s="4" t="str">
        <f>IF($C$4="湯屋",IF($D$3&lt;=200,M17*$D$3,200*M17),"")</f>
        <v/>
      </c>
      <c r="R17" s="4"/>
      <c r="S17" s="4" t="str">
        <f>IF($C$4="湯屋",IF($D$3&lt;=200,O17*$D$3,200*O17),"")</f>
        <v/>
      </c>
      <c r="U17" t="str">
        <f>IF($C$4="湯屋",IF($E$3&lt;=200,M17*$E$3,200*M17),"")</f>
        <v/>
      </c>
      <c r="W17" t="str">
        <f>IF($C$4="湯屋",IF($E$3&lt;=200,O17*$E$3,200*O17),"")</f>
        <v/>
      </c>
    </row>
    <row r="18" spans="2:23" x14ac:dyDescent="0.4">
      <c r="B18" s="9" t="s">
        <v>24</v>
      </c>
      <c r="C18" s="7">
        <f>IF($C$4="湯屋",Q19,IF($C$4="一時",Q16,Q14+R14))</f>
        <v>0</v>
      </c>
      <c r="D18" s="7">
        <f>IF($C$4="湯屋",S19,IF($C$4="一時",S16,S14))</f>
        <v>0</v>
      </c>
      <c r="E18" s="7">
        <f t="shared" ref="E18:E21" si="6">IF($C$4="","",D18-C18)</f>
        <v>0</v>
      </c>
      <c r="F18" s="8" t="e">
        <f t="shared" si="5"/>
        <v>#DIV/0!</v>
      </c>
      <c r="L18" t="s">
        <v>31</v>
      </c>
      <c r="M18">
        <v>27</v>
      </c>
      <c r="N18">
        <v>27</v>
      </c>
      <c r="O18">
        <v>42</v>
      </c>
      <c r="Q18" s="4" t="str">
        <f>IF($C$4="湯屋",IF($D$3&lt;=200,"",($D$3-200)*M18),"")</f>
        <v/>
      </c>
      <c r="R18" s="4"/>
      <c r="S18" s="4" t="str">
        <f t="shared" ref="S18" si="7">IF($C$4="湯屋",IF($D$3&lt;=200,"",($D$3-200)*O18),"")</f>
        <v/>
      </c>
      <c r="T18" s="4"/>
      <c r="U18" t="str">
        <f>IF($C$4="湯屋",IF($E$3&lt;=200,"",($E$3-200)*M18),"")</f>
        <v/>
      </c>
      <c r="W18" t="str">
        <f>IF($C$4="湯屋",IF($E$3&lt;=200,"",($E$3-200)*O18),"")</f>
        <v/>
      </c>
    </row>
    <row r="19" spans="2:23" x14ac:dyDescent="0.4">
      <c r="B19" s="9" t="s">
        <v>26</v>
      </c>
      <c r="C19" s="7" t="e">
        <f>SUM(C17:C18)</f>
        <v>#N/A</v>
      </c>
      <c r="D19" s="7" t="e">
        <f t="shared" ref="D19" si="8">SUM(D17:D18)</f>
        <v>#N/A</v>
      </c>
      <c r="E19" s="7" t="e">
        <f t="shared" si="6"/>
        <v>#N/A</v>
      </c>
      <c r="F19" s="8" t="e">
        <f t="shared" si="5"/>
        <v>#N/A</v>
      </c>
      <c r="Q19" s="4">
        <f>SUM(Q16:Q18)</f>
        <v>0</v>
      </c>
      <c r="R19" s="4"/>
      <c r="S19" s="4">
        <f t="shared" ref="S19" si="9">SUM(S16:S18)</f>
        <v>0</v>
      </c>
      <c r="T19" s="4"/>
      <c r="U19" s="4">
        <f t="shared" ref="U19" si="10">SUM(U16:U18)</f>
        <v>0</v>
      </c>
      <c r="V19" s="4"/>
      <c r="W19" s="4">
        <f t="shared" ref="W19" si="11">SUM(W16:W18)</f>
        <v>0</v>
      </c>
    </row>
    <row r="20" spans="2:23" x14ac:dyDescent="0.4">
      <c r="B20" s="9" t="s">
        <v>28</v>
      </c>
      <c r="C20" s="7" t="e">
        <f>C21-C19</f>
        <v>#N/A</v>
      </c>
      <c r="D20" s="7" t="e">
        <f>D21-D19</f>
        <v>#N/A</v>
      </c>
      <c r="E20" s="7" t="e">
        <f t="shared" si="6"/>
        <v>#N/A</v>
      </c>
      <c r="F20" s="8" t="e">
        <f t="shared" si="5"/>
        <v>#N/A</v>
      </c>
      <c r="Q20" s="4"/>
      <c r="R20" s="4"/>
      <c r="S20" s="4"/>
      <c r="T20" s="4"/>
      <c r="U20" s="4"/>
      <c r="V20" s="4"/>
    </row>
    <row r="21" spans="2:23" x14ac:dyDescent="0.4">
      <c r="B21" s="9" t="s">
        <v>30</v>
      </c>
      <c r="C21" s="7" t="e">
        <f>ROUNDDOWN(C19*1.1,0)</f>
        <v>#N/A</v>
      </c>
      <c r="D21" s="7" t="e">
        <f>ROUNDDOWN(D19*1.1,0)</f>
        <v>#N/A</v>
      </c>
      <c r="E21" s="7" t="e">
        <f t="shared" si="6"/>
        <v>#N/A</v>
      </c>
      <c r="F21" s="8" t="e">
        <f t="shared" si="5"/>
        <v>#N/A</v>
      </c>
      <c r="Q21" s="4"/>
      <c r="S21" s="4"/>
    </row>
    <row r="22" spans="2:23" x14ac:dyDescent="0.4">
      <c r="Q22" s="4"/>
      <c r="S22" s="4"/>
    </row>
    <row r="23" spans="2:23" x14ac:dyDescent="0.4">
      <c r="B23" t="s">
        <v>37</v>
      </c>
      <c r="Q23" s="10"/>
      <c r="S23" s="4"/>
    </row>
    <row r="24" spans="2:23" x14ac:dyDescent="0.4">
      <c r="B24" s="5"/>
      <c r="C24" s="6" t="s">
        <v>17</v>
      </c>
      <c r="D24" s="6" t="s">
        <v>18</v>
      </c>
      <c r="E24" s="6" t="s">
        <v>19</v>
      </c>
      <c r="F24" s="6" t="s">
        <v>20</v>
      </c>
      <c r="Q24" s="4"/>
      <c r="S24" s="10"/>
    </row>
    <row r="25" spans="2:23" x14ac:dyDescent="0.4">
      <c r="B25" s="5" t="s">
        <v>22</v>
      </c>
      <c r="C25" s="7" t="e">
        <f>IF($C$4="","",VLOOKUP($C$4,$H$6:$J$17,2))</f>
        <v>#N/A</v>
      </c>
      <c r="D25" s="7" t="e">
        <f>IF($C$4="","",VLOOKUP($C$4,$H$6:$J$17,3))</f>
        <v>#N/A</v>
      </c>
      <c r="E25" s="7" t="e">
        <f>IF($C$4="","",D25-C25)</f>
        <v>#N/A</v>
      </c>
      <c r="F25" s="8" t="e">
        <f t="shared" ref="F25:F29" si="12">E25/C25*100</f>
        <v>#N/A</v>
      </c>
    </row>
    <row r="26" spans="2:23" x14ac:dyDescent="0.4">
      <c r="B26" s="5" t="s">
        <v>24</v>
      </c>
      <c r="C26" s="7">
        <f>IF($C$4="湯屋",U19,IF($C$4="一時",U16,U14+V14))</f>
        <v>0</v>
      </c>
      <c r="D26" s="7">
        <f>IF($C$4="湯屋",W19,IF($C$4="一時",W16,W14))</f>
        <v>0</v>
      </c>
      <c r="E26" s="7">
        <f t="shared" ref="E26:E29" si="13">IF($C$4="","",D26-C26)</f>
        <v>0</v>
      </c>
      <c r="F26" s="8" t="e">
        <f t="shared" si="12"/>
        <v>#DIV/0!</v>
      </c>
    </row>
    <row r="27" spans="2:23" x14ac:dyDescent="0.4">
      <c r="B27" s="5" t="s">
        <v>26</v>
      </c>
      <c r="C27" s="7" t="e">
        <f>SUM(C25:C26)</f>
        <v>#N/A</v>
      </c>
      <c r="D27" s="7" t="e">
        <f t="shared" ref="D27" si="14">SUM(D25:D26)</f>
        <v>#N/A</v>
      </c>
      <c r="E27" s="7" t="e">
        <f t="shared" si="13"/>
        <v>#N/A</v>
      </c>
      <c r="F27" s="8" t="e">
        <f t="shared" si="12"/>
        <v>#N/A</v>
      </c>
    </row>
    <row r="28" spans="2:23" x14ac:dyDescent="0.4">
      <c r="B28" s="5" t="s">
        <v>28</v>
      </c>
      <c r="C28" s="7" t="e">
        <f>C29-C27</f>
        <v>#N/A</v>
      </c>
      <c r="D28" s="7" t="e">
        <f>D29-D27</f>
        <v>#N/A</v>
      </c>
      <c r="E28" s="7" t="e">
        <f t="shared" si="13"/>
        <v>#N/A</v>
      </c>
      <c r="F28" s="8" t="e">
        <f t="shared" si="12"/>
        <v>#N/A</v>
      </c>
    </row>
    <row r="29" spans="2:23" x14ac:dyDescent="0.4">
      <c r="B29" s="5" t="s">
        <v>30</v>
      </c>
      <c r="C29" s="7" t="e">
        <f>ROUNDDOWN(C27*1.1,0)</f>
        <v>#N/A</v>
      </c>
      <c r="D29" s="7" t="e">
        <f>ROUNDDOWN(D27*1.1,0)</f>
        <v>#N/A</v>
      </c>
      <c r="E29" s="7" t="e">
        <f t="shared" si="13"/>
        <v>#N/A</v>
      </c>
      <c r="F29" s="8" t="e">
        <f t="shared" si="12"/>
        <v>#N/A</v>
      </c>
    </row>
  </sheetData>
  <sheetProtection algorithmName="SHA-512" hashValue="EYcuTBJqmS9wKrplQlOQ3LxIWj/QHNLlzO4brIVPeGWRP4F767HpXiIM1zdTsMKjeezU/N0Mb4YWUoCkXD5HsA==" saltValue="8AAjsZ5K6xV7xzAxqRhtjA==" spinCount="100000" sheet="1" objects="1" scenarios="1" selectLockedCells="1"/>
  <mergeCells count="8">
    <mergeCell ref="Q4:S4"/>
    <mergeCell ref="U4:W4"/>
    <mergeCell ref="I1:J1"/>
    <mergeCell ref="M1:O1"/>
    <mergeCell ref="Q2:S2"/>
    <mergeCell ref="U2:W2"/>
    <mergeCell ref="I3:J3"/>
    <mergeCell ref="M3:O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料金計算新旧</vt:lpstr>
      <vt:lpstr>料金計算新旧!Print_Area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　竜一</dc:creator>
  <cp:lastModifiedBy>安藤　竜一</cp:lastModifiedBy>
  <cp:lastPrinted>2026-10-16T06:50:36Z</cp:lastPrinted>
  <dcterms:created xsi:type="dcterms:W3CDTF">2026-10-16T05:08:12Z</dcterms:created>
  <dcterms:modified xsi:type="dcterms:W3CDTF">2026-10-16T07:00:23Z</dcterms:modified>
</cp:coreProperties>
</file>